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670" activeTab="0"/>
  </bookViews>
  <sheets>
    <sheet name="Roaster Capacities" sheetId="1" r:id="rId1"/>
  </sheets>
  <definedNames/>
  <calcPr fullCalcOnLoad="1"/>
</workbook>
</file>

<file path=xl/sharedStrings.xml><?xml version="1.0" encoding="utf-8"?>
<sst xmlns="http://schemas.openxmlformats.org/spreadsheetml/2006/main" count="157" uniqueCount="91">
  <si>
    <t>MODEL</t>
  </si>
  <si>
    <t>Product</t>
  </si>
  <si>
    <t>Peanuts (in-shell)</t>
  </si>
  <si>
    <t>Almonds</t>
  </si>
  <si>
    <t>Cashews</t>
  </si>
  <si>
    <t>Hazelnuts</t>
  </si>
  <si>
    <t>Pecans</t>
  </si>
  <si>
    <t>Walnuts</t>
  </si>
  <si>
    <t>V600-1H</t>
  </si>
  <si>
    <t>V1000-2H</t>
  </si>
  <si>
    <t>V1000-3H</t>
  </si>
  <si>
    <t>V1000-4H</t>
  </si>
  <si>
    <t>V600-2H</t>
  </si>
  <si>
    <t>V600-3H</t>
  </si>
  <si>
    <t>V600-4H</t>
  </si>
  <si>
    <t>Bulk Density</t>
  </si>
  <si>
    <t>Macadamias (halves)</t>
  </si>
  <si>
    <t>Macadamias (wholes)</t>
  </si>
  <si>
    <t>Macadamias (meal)</t>
  </si>
  <si>
    <t>Peanuts (meal)</t>
  </si>
  <si>
    <t>Bed depth</t>
  </si>
  <si>
    <t>mm</t>
  </si>
  <si>
    <t>RESIDENCE TIME (min)</t>
  </si>
  <si>
    <t>tonne/hr</t>
  </si>
  <si>
    <t>Brazil Nuts</t>
  </si>
  <si>
    <t>Coffee Beans (whole)</t>
  </si>
  <si>
    <t>Pine Nuts</t>
  </si>
  <si>
    <t>Pistachios</t>
  </si>
  <si>
    <t>Pumpkin Seeds</t>
  </si>
  <si>
    <t>Sunflower Seeds</t>
  </si>
  <si>
    <t>Chick Peas</t>
  </si>
  <si>
    <t>Hours per day</t>
  </si>
  <si>
    <t>Days per week</t>
  </si>
  <si>
    <t>Weekly Throughput</t>
  </si>
  <si>
    <t>hours</t>
  </si>
  <si>
    <t>tonne/week</t>
  </si>
  <si>
    <t>%</t>
  </si>
  <si>
    <t>days</t>
  </si>
  <si>
    <t>V1000-1H</t>
  </si>
  <si>
    <t>Utilization Factor</t>
  </si>
  <si>
    <t>Weekly Roasting Hrs</t>
  </si>
  <si>
    <t>VESTA© MODEL SELECTION GUIDE</t>
  </si>
  <si>
    <t>BED
WIDTH 
(mm)</t>
  </si>
  <si>
    <t>BED
LENGTH 
(mm)</t>
  </si>
  <si>
    <t>STEP 2 - edit cells to meet your requirements</t>
  </si>
  <si>
    <t>STEP 3 - compare hourly throughput with main table</t>
  </si>
  <si>
    <t>Hourly Throughput</t>
  </si>
  <si>
    <t>V2000-2H</t>
  </si>
  <si>
    <t>V2000-3H</t>
  </si>
  <si>
    <t>V2000-4H</t>
  </si>
  <si>
    <t>V2000-5H</t>
  </si>
  <si>
    <t>Peanuts (kernel)</t>
  </si>
  <si>
    <t>Other 1</t>
  </si>
  <si>
    <t>V2000-6H</t>
  </si>
  <si>
    <t xml:space="preserve">Contact us: </t>
  </si>
  <si>
    <t>sales@myra.com.au</t>
  </si>
  <si>
    <t>STEP 1 - select Product &amp; Units from drop-down boxes</t>
  </si>
  <si>
    <t>Units</t>
  </si>
  <si>
    <t>metric</t>
  </si>
  <si>
    <t>imperial</t>
  </si>
  <si>
    <t>Density</t>
  </si>
  <si>
    <t>Bed Depth</t>
  </si>
  <si>
    <t>inch</t>
  </si>
  <si>
    <t>Length</t>
  </si>
  <si>
    <r>
      <t>tonne/m</t>
    </r>
    <r>
      <rPr>
        <b/>
        <vertAlign val="superscript"/>
        <sz val="10"/>
        <color indexed="8"/>
        <rFont val="Arial"/>
        <family val="2"/>
      </rPr>
      <t>3</t>
    </r>
  </si>
  <si>
    <r>
      <t>lb/ft</t>
    </r>
    <r>
      <rPr>
        <b/>
        <vertAlign val="superscript"/>
        <sz val="10"/>
        <color indexed="8"/>
        <rFont val="Arial"/>
        <family val="2"/>
      </rPr>
      <t>3</t>
    </r>
  </si>
  <si>
    <r>
      <t>tonne/m</t>
    </r>
    <r>
      <rPr>
        <vertAlign val="superscript"/>
        <sz val="10"/>
        <color indexed="8"/>
        <rFont val="Arial"/>
        <family val="2"/>
      </rPr>
      <t>3</t>
    </r>
  </si>
  <si>
    <r>
      <t>lb/ft</t>
    </r>
    <r>
      <rPr>
        <vertAlign val="superscript"/>
        <sz val="10"/>
        <color indexed="8"/>
        <rFont val="Arial"/>
        <family val="2"/>
      </rPr>
      <t>3</t>
    </r>
  </si>
  <si>
    <t>Throughput 2</t>
  </si>
  <si>
    <t>Throughput 1</t>
  </si>
  <si>
    <t>lb/week</t>
  </si>
  <si>
    <t>WIDTH</t>
  </si>
  <si>
    <t>LENGTH</t>
  </si>
  <si>
    <t>BED</t>
  </si>
  <si>
    <t>Conversion constant</t>
  </si>
  <si>
    <t>x1000 lb/hr</t>
  </si>
  <si>
    <t>Factor</t>
  </si>
  <si>
    <r>
      <rPr>
        <sz val="8"/>
        <color indexed="8"/>
        <rFont val="Arial"/>
        <family val="2"/>
      </rPr>
      <t>2/9 Russellton Drive
Alstonville, N.S.W.  Australia 2477
Phone : +61 2 6628 3434
Fax      : +61 2 6628 3464
Web  : www.myra.com.au/vesta</t>
    </r>
    <r>
      <rPr>
        <sz val="10"/>
        <color theme="1"/>
        <rFont val="Arial"/>
        <family val="2"/>
      </rPr>
      <t xml:space="preserve">
</t>
    </r>
  </si>
  <si>
    <t>(1 - 125) mm</t>
  </si>
  <si>
    <t>(1 - 5) inch</t>
  </si>
  <si>
    <t>Max bed depth</t>
  </si>
  <si>
    <t>Selection</t>
  </si>
  <si>
    <t>Metric</t>
  </si>
  <si>
    <t>Imperial</t>
  </si>
  <si>
    <t>(mm)</t>
  </si>
  <si>
    <t>(inch)</t>
  </si>
  <si>
    <t>(tonne/week)</t>
  </si>
  <si>
    <t>(lb/week)</t>
  </si>
  <si>
    <t>Number</t>
  </si>
  <si>
    <t>#</t>
  </si>
  <si>
    <t>No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</si>
</sst>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[$-C09]dddd\,\ d\ mmmm\ yyyy"/>
    <numFmt numFmtId="171" formatCode="[$-409]h:mm:ss\ AM/PM"/>
    <numFmt numFmtId="172" formatCode="#,##0.0"/>
    <numFmt numFmtId="173" formatCode="#,##0.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36"/>
      <color indexed="9"/>
      <name val="Times New Roman"/>
      <family val="1"/>
    </font>
    <font>
      <sz val="14"/>
      <color indexed="8"/>
      <name val="Arial"/>
      <family val="2"/>
    </font>
    <font>
      <u val="single"/>
      <sz val="14"/>
      <color indexed="12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4"/>
      <color theme="1"/>
      <name val="Arial"/>
      <family val="2"/>
    </font>
    <font>
      <u val="single"/>
      <sz val="14"/>
      <color theme="10"/>
      <name val="Arial"/>
      <family val="2"/>
    </font>
    <font>
      <b/>
      <sz val="36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/>
    </xf>
    <xf numFmtId="0" fontId="0" fillId="33" borderId="0" xfId="25" applyFill="1" applyAlignment="1">
      <alignment/>
    </xf>
    <xf numFmtId="0" fontId="33" fillId="33" borderId="0" xfId="47" applyFill="1" applyAlignment="1">
      <alignment/>
    </xf>
    <xf numFmtId="0" fontId="4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28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2" fontId="0" fillId="0" borderId="35" xfId="0" applyNumberForma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173" fontId="0" fillId="0" borderId="11" xfId="0" applyNumberFormat="1" applyFill="1" applyBorder="1" applyAlignment="1">
      <alignment horizontal="center"/>
    </xf>
    <xf numFmtId="173" fontId="0" fillId="0" borderId="26" xfId="0" applyNumberFormat="1" applyFill="1" applyBorder="1" applyAlignment="1">
      <alignment horizontal="center"/>
    </xf>
    <xf numFmtId="173" fontId="0" fillId="0" borderId="42" xfId="0" applyNumberForma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9" xfId="0" applyNumberFormat="1" applyFill="1" applyBorder="1" applyAlignment="1">
      <alignment horizontal="center"/>
    </xf>
    <xf numFmtId="173" fontId="0" fillId="0" borderId="43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29" xfId="0" applyNumberFormat="1" applyFill="1" applyBorder="1" applyAlignment="1">
      <alignment horizontal="center"/>
    </xf>
    <xf numFmtId="173" fontId="0" fillId="0" borderId="44" xfId="0" applyNumberForma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10" xfId="0" applyFont="1" applyFill="1" applyBorder="1" applyAlignment="1">
      <alignment vertical="center"/>
    </xf>
    <xf numFmtId="0" fontId="43" fillId="0" borderId="45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47" xfId="0" applyFill="1" applyBorder="1" applyAlignment="1" applyProtection="1">
      <alignment horizontal="center" vertical="center"/>
      <protection locked="0"/>
    </xf>
    <xf numFmtId="165" fontId="0" fillId="0" borderId="43" xfId="0" applyNumberFormat="1" applyFill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43" fillId="0" borderId="29" xfId="0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43" fillId="0" borderId="19" xfId="0" applyNumberFormat="1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165" fontId="43" fillId="0" borderId="29" xfId="0" applyNumberFormat="1" applyFont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/>
    </xf>
    <xf numFmtId="0" fontId="28" fillId="0" borderId="49" xfId="0" applyFont="1" applyFill="1" applyBorder="1" applyAlignment="1">
      <alignment/>
    </xf>
    <xf numFmtId="0" fontId="45" fillId="34" borderId="43" xfId="0" applyFont="1" applyFill="1" applyBorder="1" applyAlignment="1" applyProtection="1">
      <alignment/>
      <protection locked="0"/>
    </xf>
    <xf numFmtId="0" fontId="43" fillId="0" borderId="50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4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vertical="center"/>
    </xf>
    <xf numFmtId="0" fontId="0" fillId="35" borderId="23" xfId="25" applyFill="1" applyBorder="1" applyAlignment="1" applyProtection="1">
      <alignment horizontal="center" vertical="center"/>
      <protection locked="0"/>
    </xf>
    <xf numFmtId="0" fontId="0" fillId="35" borderId="35" xfId="25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7" fillId="0" borderId="37" xfId="52" applyFont="1" applyFill="1" applyBorder="1" applyAlignment="1" applyProtection="1">
      <alignment horizontal="center" vertical="center"/>
      <protection/>
    </xf>
    <xf numFmtId="0" fontId="47" fillId="0" borderId="38" xfId="52" applyFont="1" applyFill="1" applyBorder="1" applyAlignment="1" applyProtection="1">
      <alignment horizontal="center" vertical="center"/>
      <protection/>
    </xf>
    <xf numFmtId="0" fontId="47" fillId="0" borderId="0" xfId="52" applyFont="1" applyFill="1" applyBorder="1" applyAlignment="1" applyProtection="1">
      <alignment horizontal="center" vertical="center"/>
      <protection/>
    </xf>
    <xf numFmtId="0" fontId="47" fillId="0" borderId="39" xfId="52" applyFont="1" applyFill="1" applyBorder="1" applyAlignment="1" applyProtection="1">
      <alignment horizontal="center" vertical="center"/>
      <protection/>
    </xf>
    <xf numFmtId="0" fontId="47" fillId="0" borderId="40" xfId="52" applyFont="1" applyFill="1" applyBorder="1" applyAlignment="1" applyProtection="1">
      <alignment horizontal="center" vertical="center"/>
      <protection/>
    </xf>
    <xf numFmtId="0" fontId="47" fillId="0" borderId="41" xfId="52" applyFont="1" applyFill="1" applyBorder="1" applyAlignment="1" applyProtection="1">
      <alignment horizontal="center" vertical="center"/>
      <protection/>
    </xf>
    <xf numFmtId="164" fontId="33" fillId="0" borderId="52" xfId="47" applyNumberFormat="1" applyFill="1" applyBorder="1" applyAlignment="1">
      <alignment horizontal="center"/>
    </xf>
    <xf numFmtId="164" fontId="33" fillId="0" borderId="53" xfId="47" applyNumberFormat="1" applyFill="1" applyBorder="1" applyAlignment="1">
      <alignment horizontal="center"/>
    </xf>
    <xf numFmtId="164" fontId="33" fillId="0" borderId="54" xfId="47" applyNumberForma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35" borderId="11" xfId="25" applyFill="1" applyBorder="1" applyAlignment="1" applyProtection="1">
      <alignment horizontal="center"/>
      <protection locked="0"/>
    </xf>
    <xf numFmtId="0" fontId="0" fillId="35" borderId="26" xfId="25" applyFill="1" applyBorder="1" applyAlignment="1" applyProtection="1">
      <alignment horizontal="center"/>
      <protection locked="0"/>
    </xf>
    <xf numFmtId="0" fontId="0" fillId="35" borderId="42" xfId="25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0" fontId="43" fillId="35" borderId="15" xfId="25" applyFont="1" applyFill="1" applyBorder="1" applyAlignment="1">
      <alignment horizontal="left" vertical="center"/>
    </xf>
    <xf numFmtId="0" fontId="43" fillId="35" borderId="37" xfId="25" applyFont="1" applyFill="1" applyBorder="1" applyAlignment="1">
      <alignment horizontal="left" vertical="center"/>
    </xf>
    <xf numFmtId="0" fontId="43" fillId="35" borderId="38" xfId="25" applyFont="1" applyFill="1" applyBorder="1" applyAlignment="1">
      <alignment horizontal="left" vertical="center"/>
    </xf>
    <xf numFmtId="0" fontId="43" fillId="35" borderId="17" xfId="25" applyFont="1" applyFill="1" applyBorder="1" applyAlignment="1">
      <alignment horizontal="left" vertical="center"/>
    </xf>
    <xf numFmtId="0" fontId="43" fillId="35" borderId="40" xfId="25" applyFont="1" applyFill="1" applyBorder="1" applyAlignment="1">
      <alignment horizontal="left" vertical="center"/>
    </xf>
    <xf numFmtId="0" fontId="43" fillId="35" borderId="41" xfId="25" applyFont="1" applyFill="1" applyBorder="1" applyAlignment="1">
      <alignment horizontal="left" vertical="center"/>
    </xf>
    <xf numFmtId="0" fontId="2" fillId="0" borderId="15" xfId="47" applyFont="1" applyFill="1" applyBorder="1" applyAlignment="1">
      <alignment horizontal="left" vertical="center"/>
    </xf>
    <xf numFmtId="0" fontId="2" fillId="0" borderId="37" xfId="47" applyFont="1" applyFill="1" applyBorder="1" applyAlignment="1">
      <alignment horizontal="left" vertical="center"/>
    </xf>
    <xf numFmtId="0" fontId="2" fillId="0" borderId="38" xfId="47" applyFont="1" applyFill="1" applyBorder="1" applyAlignment="1">
      <alignment horizontal="left" vertical="center"/>
    </xf>
    <xf numFmtId="0" fontId="2" fillId="0" borderId="17" xfId="47" applyFont="1" applyFill="1" applyBorder="1" applyAlignment="1">
      <alignment horizontal="left" vertical="center"/>
    </xf>
    <xf numFmtId="0" fontId="2" fillId="0" borderId="40" xfId="47" applyFont="1" applyFill="1" applyBorder="1" applyAlignment="1">
      <alignment horizontal="left" vertical="center"/>
    </xf>
    <xf numFmtId="0" fontId="2" fillId="0" borderId="41" xfId="47" applyFont="1" applyFill="1" applyBorder="1" applyAlignment="1">
      <alignment horizontal="left" vertical="center"/>
    </xf>
    <xf numFmtId="0" fontId="43" fillId="34" borderId="15" xfId="0" applyFont="1" applyFill="1" applyBorder="1" applyAlignment="1">
      <alignment horizontal="left" vertical="center"/>
    </xf>
    <xf numFmtId="0" fontId="43" fillId="34" borderId="37" xfId="0" applyFont="1" applyFill="1" applyBorder="1" applyAlignment="1">
      <alignment horizontal="left" vertical="center"/>
    </xf>
    <xf numFmtId="0" fontId="43" fillId="34" borderId="38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horizontal="left" vertical="center"/>
    </xf>
    <xf numFmtId="0" fontId="43" fillId="34" borderId="40" xfId="0" applyFont="1" applyFill="1" applyBorder="1" applyAlignment="1">
      <alignment horizontal="left" vertical="center"/>
    </xf>
    <xf numFmtId="0" fontId="43" fillId="34" borderId="41" xfId="0" applyFont="1" applyFill="1" applyBorder="1" applyAlignment="1">
      <alignment horizontal="left" vertical="center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12" xfId="58" applyNumberFormat="1" applyFont="1" applyFill="1" applyBorder="1" applyAlignment="1" applyProtection="1">
      <alignment horizontal="center"/>
      <protection locked="0"/>
    </xf>
    <xf numFmtId="0" fontId="0" fillId="34" borderId="19" xfId="58" applyNumberFormat="1" applyFont="1" applyFill="1" applyBorder="1" applyAlignment="1" applyProtection="1">
      <alignment horizontal="center"/>
      <protection locked="0"/>
    </xf>
    <xf numFmtId="0" fontId="0" fillId="34" borderId="43" xfId="58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657225</xdr:colOff>
      <xdr:row>1</xdr:row>
      <xdr:rowOff>47625</xdr:rowOff>
    </xdr:to>
    <xdr:pic>
      <xdr:nvPicPr>
        <xdr:cNvPr id="1" name="Picture 1" descr="myr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29</xdr:row>
      <xdr:rowOff>0</xdr:rowOff>
    </xdr:from>
    <xdr:to>
      <xdr:col>7</xdr:col>
      <xdr:colOff>447675</xdr:colOff>
      <xdr:row>33</xdr:row>
      <xdr:rowOff>152400</xdr:rowOff>
    </xdr:to>
    <xdr:pic>
      <xdr:nvPicPr>
        <xdr:cNvPr id="2" name="Picture 2" descr="Myra Corporate Heade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314950"/>
          <a:ext cx="5086350" cy="8096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myra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0"/>
  <sheetViews>
    <sheetView showGridLines="0" showRowColHeaders="0" tabSelected="1" zoomScalePageLayoutView="0" workbookViewId="0" topLeftCell="A1">
      <selection activeCell="Q19" sqref="Q19"/>
    </sheetView>
  </sheetViews>
  <sheetFormatPr defaultColWidth="9.140625" defaultRowHeight="12.75"/>
  <cols>
    <col min="1" max="1" width="3.7109375" style="2" customWidth="1"/>
    <col min="2" max="2" width="19.00390625" style="2" customWidth="1"/>
    <col min="3" max="4" width="11.57421875" style="2" customWidth="1"/>
    <col min="5" max="14" width="9.140625" style="2" customWidth="1"/>
    <col min="15" max="15" width="2.8515625" style="2" customWidth="1"/>
    <col min="16" max="16" width="20.00390625" style="2" bestFit="1" customWidth="1"/>
    <col min="17" max="17" width="13.7109375" style="3" customWidth="1"/>
    <col min="18" max="18" width="13.7109375" style="2" customWidth="1"/>
    <col min="19" max="19" width="20.7109375" style="2" hidden="1" customWidth="1"/>
    <col min="20" max="20" width="13.7109375" style="2" hidden="1" customWidth="1"/>
    <col min="21" max="22" width="11.7109375" style="2" hidden="1" customWidth="1"/>
    <col min="23" max="23" width="9.140625" style="2" hidden="1" customWidth="1"/>
    <col min="24" max="24" width="18.00390625" style="2" hidden="1" customWidth="1"/>
    <col min="25" max="25" width="11.7109375" style="2" hidden="1" customWidth="1"/>
    <col min="26" max="26" width="11.57421875" style="2" hidden="1" customWidth="1"/>
    <col min="27" max="27" width="9.140625" style="2" hidden="1" customWidth="1"/>
    <col min="28" max="28" width="9.57421875" style="3" hidden="1" customWidth="1"/>
    <col min="29" max="29" width="4.7109375" style="2" hidden="1" customWidth="1"/>
    <col min="30" max="30" width="9.57421875" style="3" hidden="1" customWidth="1"/>
    <col min="31" max="32" width="8.57421875" style="3" hidden="1" customWidth="1"/>
    <col min="33" max="33" width="0" style="3" hidden="1" customWidth="1"/>
    <col min="34" max="34" width="9.57421875" style="3" hidden="1" customWidth="1"/>
    <col min="35" max="35" width="6.140625" style="3" hidden="1" customWidth="1"/>
    <col min="36" max="36" width="12.7109375" style="3" hidden="1" customWidth="1"/>
    <col min="37" max="37" width="12.7109375" style="2" hidden="1" customWidth="1"/>
    <col min="38" max="39" width="9.28125" style="2" hidden="1" customWidth="1"/>
    <col min="40" max="16384" width="9.140625" style="2" customWidth="1"/>
  </cols>
  <sheetData>
    <row r="1" spans="2:17" ht="45.75" customHeight="1">
      <c r="B1" s="151" t="s">
        <v>41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ht="13.5" thickBot="1"/>
    <row r="3" spans="2:26" ht="13.5" thickBot="1">
      <c r="B3" s="158" t="s">
        <v>56</v>
      </c>
      <c r="C3" s="159"/>
      <c r="D3" s="159"/>
      <c r="E3" s="160"/>
      <c r="F3" s="5"/>
      <c r="G3" s="12" t="s">
        <v>1</v>
      </c>
      <c r="H3" s="42"/>
      <c r="I3" s="42"/>
      <c r="J3" s="152" t="s">
        <v>1</v>
      </c>
      <c r="K3" s="153"/>
      <c r="L3" s="154"/>
      <c r="M3" s="42"/>
      <c r="N3" s="43"/>
      <c r="P3" s="110" t="s">
        <v>57</v>
      </c>
      <c r="Q3" s="129" t="s">
        <v>58</v>
      </c>
      <c r="S3" s="18" t="s">
        <v>57</v>
      </c>
      <c r="T3" s="67" t="s">
        <v>60</v>
      </c>
      <c r="U3" s="67" t="s">
        <v>69</v>
      </c>
      <c r="V3" s="67" t="s">
        <v>68</v>
      </c>
      <c r="W3" s="67" t="s">
        <v>63</v>
      </c>
      <c r="X3" s="19" t="s">
        <v>74</v>
      </c>
      <c r="Y3" s="19" t="s">
        <v>76</v>
      </c>
      <c r="Z3" s="81" t="s">
        <v>61</v>
      </c>
    </row>
    <row r="4" spans="2:26" ht="15" thickBot="1">
      <c r="B4" s="161"/>
      <c r="C4" s="162"/>
      <c r="D4" s="162"/>
      <c r="E4" s="163"/>
      <c r="G4" s="13" t="s">
        <v>15</v>
      </c>
      <c r="H4" s="16"/>
      <c r="I4" s="16"/>
      <c r="J4" s="155">
        <f>VLOOKUP(J3,P9:Q28,2,0)</f>
        <v>0</v>
      </c>
      <c r="K4" s="156"/>
      <c r="L4" s="157"/>
      <c r="M4" s="16" t="str">
        <f>VLOOKUP($Q$3,$S$4:$W$5,2,0)</f>
        <v>tonne/m3</v>
      </c>
      <c r="N4" s="44"/>
      <c r="P4" s="128"/>
      <c r="Q4" s="130"/>
      <c r="S4" s="8" t="s">
        <v>58</v>
      </c>
      <c r="T4" s="68" t="s">
        <v>66</v>
      </c>
      <c r="U4" s="68" t="s">
        <v>23</v>
      </c>
      <c r="V4" s="68" t="s">
        <v>35</v>
      </c>
      <c r="W4" s="68" t="s">
        <v>21</v>
      </c>
      <c r="X4" s="69">
        <f>1000*1000*1000</f>
        <v>1000000000</v>
      </c>
      <c r="Y4" s="69">
        <v>1</v>
      </c>
      <c r="Z4" s="79" t="s">
        <v>78</v>
      </c>
    </row>
    <row r="5" spans="7:26" ht="13.5" customHeight="1" thickBot="1">
      <c r="G5" s="13" t="s">
        <v>33</v>
      </c>
      <c r="H5" s="16"/>
      <c r="I5" s="16"/>
      <c r="J5" s="101">
        <f>IF(L5&gt;200,VLOOKUP(L5,AL10:AM28,2,1),VLOOKUP(L5,AK10:AM28,3,1))</f>
        <v>1</v>
      </c>
      <c r="K5" s="100">
        <f>VLOOKUP(J5,AI10:AJ28,2,1)</f>
        <v>1</v>
      </c>
      <c r="L5" s="102">
        <v>1</v>
      </c>
      <c r="M5" s="16" t="str">
        <f>VLOOKUP($Q$3,$S$4:$W$5,4,0)</f>
        <v>tonne/week</v>
      </c>
      <c r="N5" s="44"/>
      <c r="S5" s="10" t="s">
        <v>59</v>
      </c>
      <c r="T5" s="70" t="s">
        <v>67</v>
      </c>
      <c r="U5" s="70" t="s">
        <v>75</v>
      </c>
      <c r="V5" s="70" t="s">
        <v>70</v>
      </c>
      <c r="W5" s="70" t="s">
        <v>62</v>
      </c>
      <c r="X5" s="71">
        <f>12*12*12*1000</f>
        <v>1728000</v>
      </c>
      <c r="Y5" s="71">
        <v>1000</v>
      </c>
      <c r="Z5" s="80" t="s">
        <v>79</v>
      </c>
    </row>
    <row r="6" spans="2:14" ht="13.5" thickBot="1">
      <c r="B6" s="170" t="s">
        <v>44</v>
      </c>
      <c r="C6" s="171"/>
      <c r="D6" s="171"/>
      <c r="E6" s="172"/>
      <c r="G6" s="13" t="s">
        <v>20</v>
      </c>
      <c r="H6" s="16"/>
      <c r="I6" s="16"/>
      <c r="J6" s="101">
        <f>IF(L6&gt;5,VLOOKUP(L6,AE10:AG19,3,1),VLOOKUP(L6,AF10:AG19,2,1))</f>
        <v>8</v>
      </c>
      <c r="K6" s="100">
        <f>VLOOKUP(J6,AC10:AD19,2,1)</f>
        <v>100</v>
      </c>
      <c r="L6" s="102">
        <v>100</v>
      </c>
      <c r="M6" s="16" t="str">
        <f>VLOOKUP($Q$3,$S$4:$Z$5,8,0)</f>
        <v>(1 - 125) mm</v>
      </c>
      <c r="N6" s="44"/>
    </row>
    <row r="7" spans="2:39" ht="15" thickBot="1">
      <c r="B7" s="173"/>
      <c r="C7" s="174"/>
      <c r="D7" s="174"/>
      <c r="E7" s="175"/>
      <c r="F7" s="6"/>
      <c r="G7" s="13" t="s">
        <v>31</v>
      </c>
      <c r="H7" s="16"/>
      <c r="I7" s="16"/>
      <c r="J7" s="176"/>
      <c r="K7" s="177"/>
      <c r="L7" s="178"/>
      <c r="M7" s="16" t="s">
        <v>34</v>
      </c>
      <c r="N7" s="44"/>
      <c r="P7" s="125" t="s">
        <v>1</v>
      </c>
      <c r="Q7" s="21" t="s">
        <v>15</v>
      </c>
      <c r="S7" s="7" t="s">
        <v>15</v>
      </c>
      <c r="T7" s="56" t="s">
        <v>64</v>
      </c>
      <c r="U7" s="57" t="s">
        <v>65</v>
      </c>
      <c r="X7" s="110" t="s">
        <v>0</v>
      </c>
      <c r="Y7" s="112" t="s">
        <v>73</v>
      </c>
      <c r="Z7" s="112"/>
      <c r="AA7" s="112" t="s">
        <v>73</v>
      </c>
      <c r="AB7" s="114"/>
      <c r="AC7" s="107" t="s">
        <v>61</v>
      </c>
      <c r="AD7" s="108"/>
      <c r="AE7" s="108"/>
      <c r="AF7" s="108"/>
      <c r="AG7" s="109"/>
      <c r="AI7" s="107" t="s">
        <v>33</v>
      </c>
      <c r="AJ7" s="108"/>
      <c r="AK7" s="108"/>
      <c r="AL7" s="108"/>
      <c r="AM7" s="109"/>
    </row>
    <row r="8" spans="7:39" ht="13.5" thickBot="1">
      <c r="G8" s="13" t="s">
        <v>32</v>
      </c>
      <c r="H8" s="16"/>
      <c r="I8" s="16"/>
      <c r="J8" s="179"/>
      <c r="K8" s="180"/>
      <c r="L8" s="181"/>
      <c r="M8" s="16" t="s">
        <v>37</v>
      </c>
      <c r="N8" s="44"/>
      <c r="P8" s="126"/>
      <c r="Q8" s="39" t="str">
        <f>"("&amp;VLOOKUP(Q3,S4:W5,2,0)&amp;")"</f>
        <v>(tonne/m3)</v>
      </c>
      <c r="S8" s="58" t="s">
        <v>1</v>
      </c>
      <c r="T8" s="59" t="s">
        <v>58</v>
      </c>
      <c r="U8" s="60" t="s">
        <v>59</v>
      </c>
      <c r="V8" s="1">
        <v>1</v>
      </c>
      <c r="X8" s="111"/>
      <c r="Y8" s="113" t="s">
        <v>71</v>
      </c>
      <c r="Z8" s="113"/>
      <c r="AA8" s="113" t="s">
        <v>72</v>
      </c>
      <c r="AB8" s="115"/>
      <c r="AC8" s="94" t="s">
        <v>90</v>
      </c>
      <c r="AD8" s="84" t="s">
        <v>81</v>
      </c>
      <c r="AE8" s="84" t="s">
        <v>82</v>
      </c>
      <c r="AF8" s="84" t="s">
        <v>83</v>
      </c>
      <c r="AG8" s="74" t="s">
        <v>88</v>
      </c>
      <c r="AI8" s="94" t="s">
        <v>90</v>
      </c>
      <c r="AJ8" s="84" t="s">
        <v>81</v>
      </c>
      <c r="AK8" s="84" t="s">
        <v>82</v>
      </c>
      <c r="AL8" s="84" t="s">
        <v>83</v>
      </c>
      <c r="AM8" s="86" t="s">
        <v>88</v>
      </c>
    </row>
    <row r="9" spans="2:39" ht="12.75">
      <c r="B9" s="164" t="s">
        <v>45</v>
      </c>
      <c r="C9" s="165"/>
      <c r="D9" s="165"/>
      <c r="E9" s="166"/>
      <c r="G9" s="13" t="s">
        <v>39</v>
      </c>
      <c r="H9" s="16"/>
      <c r="I9" s="16"/>
      <c r="J9" s="182"/>
      <c r="K9" s="183"/>
      <c r="L9" s="184"/>
      <c r="M9" s="16" t="s">
        <v>36</v>
      </c>
      <c r="N9" s="44"/>
      <c r="P9" s="11" t="s">
        <v>1</v>
      </c>
      <c r="Q9" s="15">
        <f>HLOOKUP($Q$3,$T$8:$U$28,$V9,0)</f>
        <v>0</v>
      </c>
      <c r="S9" s="8" t="s">
        <v>1</v>
      </c>
      <c r="T9" s="61">
        <v>0</v>
      </c>
      <c r="U9" s="62">
        <f>T9*62.43</f>
        <v>0</v>
      </c>
      <c r="V9" s="1">
        <v>2</v>
      </c>
      <c r="X9" s="111"/>
      <c r="Y9" s="72" t="s">
        <v>21</v>
      </c>
      <c r="Z9" s="73" t="s">
        <v>62</v>
      </c>
      <c r="AA9" s="72" t="s">
        <v>21</v>
      </c>
      <c r="AB9" s="97" t="s">
        <v>62</v>
      </c>
      <c r="AC9" s="94" t="s">
        <v>89</v>
      </c>
      <c r="AD9" s="84" t="str">
        <f aca="true" t="shared" si="0" ref="AD9:AD19">IF($Q$3=$AE$8,AE9,AF9)</f>
        <v>(mm)</v>
      </c>
      <c r="AE9" s="84" t="s">
        <v>84</v>
      </c>
      <c r="AF9" s="84" t="s">
        <v>85</v>
      </c>
      <c r="AG9" s="74" t="s">
        <v>89</v>
      </c>
      <c r="AI9" s="94" t="s">
        <v>89</v>
      </c>
      <c r="AJ9" s="84" t="str">
        <f aca="true" t="shared" si="1" ref="AJ9:AJ28">IF($Q$3=$AK$8,AK9,AL9)</f>
        <v>(tonne/week)</v>
      </c>
      <c r="AK9" s="84" t="s">
        <v>86</v>
      </c>
      <c r="AL9" s="84" t="s">
        <v>87</v>
      </c>
      <c r="AM9" s="86" t="s">
        <v>89</v>
      </c>
    </row>
    <row r="10" spans="2:39" ht="13.5" thickBot="1">
      <c r="B10" s="167"/>
      <c r="C10" s="168"/>
      <c r="D10" s="168"/>
      <c r="E10" s="169"/>
      <c r="G10" s="13" t="s">
        <v>40</v>
      </c>
      <c r="H10" s="16"/>
      <c r="I10" s="16"/>
      <c r="J10" s="116">
        <f>J7*J8*J9/100</f>
        <v>0</v>
      </c>
      <c r="K10" s="117"/>
      <c r="L10" s="118"/>
      <c r="M10" s="16" t="s">
        <v>34</v>
      </c>
      <c r="N10" s="44"/>
      <c r="P10" s="9" t="s">
        <v>3</v>
      </c>
      <c r="Q10" s="15">
        <f aca="true" t="shared" si="2" ref="Q10:Q28">HLOOKUP($Q$3,$T$8:$U$28,$V10,0)</f>
        <v>0.465</v>
      </c>
      <c r="S10" s="9" t="s">
        <v>3</v>
      </c>
      <c r="T10" s="63">
        <v>0.465</v>
      </c>
      <c r="U10" s="64">
        <f aca="true" t="shared" si="3" ref="U10:U28">T10*62.43</f>
        <v>29.029950000000003</v>
      </c>
      <c r="V10" s="1">
        <v>3</v>
      </c>
      <c r="X10" s="75"/>
      <c r="Y10" s="72" t="s">
        <v>58</v>
      </c>
      <c r="Z10" s="73" t="s">
        <v>59</v>
      </c>
      <c r="AA10" s="72" t="s">
        <v>58</v>
      </c>
      <c r="AB10" s="97" t="s">
        <v>59</v>
      </c>
      <c r="AC10" s="27">
        <v>1</v>
      </c>
      <c r="AD10" s="93">
        <f t="shared" si="0"/>
        <v>12.5</v>
      </c>
      <c r="AE10" s="91">
        <v>12.5</v>
      </c>
      <c r="AF10" s="91">
        <v>0.5</v>
      </c>
      <c r="AG10" s="98">
        <v>1</v>
      </c>
      <c r="AI10" s="27">
        <v>1</v>
      </c>
      <c r="AJ10" s="84">
        <f t="shared" si="1"/>
        <v>1</v>
      </c>
      <c r="AK10" s="85">
        <v>1</v>
      </c>
      <c r="AL10" s="85">
        <f>2000*AK10</f>
        <v>2000</v>
      </c>
      <c r="AM10" s="87">
        <v>1</v>
      </c>
    </row>
    <row r="11" spans="7:39" ht="13.5" thickBot="1">
      <c r="G11" s="14" t="s">
        <v>46</v>
      </c>
      <c r="H11" s="45"/>
      <c r="I11" s="45"/>
      <c r="J11" s="143" t="e">
        <f>K5/(J10*VLOOKUP(Q3,S4:Y5,7,0))</f>
        <v>#DIV/0!</v>
      </c>
      <c r="K11" s="144"/>
      <c r="L11" s="145"/>
      <c r="M11" s="45" t="str">
        <f>VLOOKUP($Q$3,$S$4:$W$5,3,0)</f>
        <v>tonne/hr</v>
      </c>
      <c r="N11" s="46"/>
      <c r="P11" s="9" t="s">
        <v>24</v>
      </c>
      <c r="Q11" s="15">
        <f t="shared" si="2"/>
        <v>0.42</v>
      </c>
      <c r="S11" s="9" t="s">
        <v>24</v>
      </c>
      <c r="T11" s="63">
        <v>0.42</v>
      </c>
      <c r="U11" s="64">
        <f t="shared" si="3"/>
        <v>26.220599999999997</v>
      </c>
      <c r="V11" s="1">
        <v>4</v>
      </c>
      <c r="X11" s="27" t="s">
        <v>8</v>
      </c>
      <c r="Y11" s="17">
        <v>575</v>
      </c>
      <c r="Z11" s="28">
        <f>Y11/25.4</f>
        <v>22.637795275590552</v>
      </c>
      <c r="AA11" s="17">
        <v>2000</v>
      </c>
      <c r="AB11" s="29">
        <f>AA11/25.4</f>
        <v>78.74015748031496</v>
      </c>
      <c r="AC11" s="27">
        <v>2</v>
      </c>
      <c r="AD11" s="93">
        <f t="shared" si="0"/>
        <v>25</v>
      </c>
      <c r="AE11" s="91">
        <v>25</v>
      </c>
      <c r="AF11" s="91">
        <v>1</v>
      </c>
      <c r="AG11" s="98">
        <v>2</v>
      </c>
      <c r="AI11" s="27">
        <v>2</v>
      </c>
      <c r="AJ11" s="84">
        <f t="shared" si="1"/>
        <v>2</v>
      </c>
      <c r="AK11" s="85">
        <v>2</v>
      </c>
      <c r="AL11" s="85">
        <f aca="true" t="shared" si="4" ref="AL11:AL28">2000*AK11</f>
        <v>4000</v>
      </c>
      <c r="AM11" s="87">
        <v>2</v>
      </c>
    </row>
    <row r="12" spans="16:39" ht="13.5" thickBot="1">
      <c r="P12" s="9" t="s">
        <v>4</v>
      </c>
      <c r="Q12" s="15">
        <f t="shared" si="2"/>
        <v>0.497</v>
      </c>
      <c r="S12" s="9" t="s">
        <v>4</v>
      </c>
      <c r="T12" s="63">
        <v>0.497</v>
      </c>
      <c r="U12" s="64">
        <f t="shared" si="3"/>
        <v>31.02771</v>
      </c>
      <c r="V12" s="1">
        <v>5</v>
      </c>
      <c r="X12" s="27" t="s">
        <v>12</v>
      </c>
      <c r="Y12" s="17">
        <v>575</v>
      </c>
      <c r="Z12" s="28">
        <f aca="true" t="shared" si="5" ref="Z12:Z23">Y12/25.4</f>
        <v>22.637795275590552</v>
      </c>
      <c r="AA12" s="17">
        <v>4000</v>
      </c>
      <c r="AB12" s="29">
        <f aca="true" t="shared" si="6" ref="AB12:AB23">AA12/25.4</f>
        <v>157.48031496062993</v>
      </c>
      <c r="AC12" s="27">
        <v>3</v>
      </c>
      <c r="AD12" s="93">
        <f t="shared" si="0"/>
        <v>37.5</v>
      </c>
      <c r="AE12" s="91">
        <v>37.5</v>
      </c>
      <c r="AF12" s="91">
        <v>1.5</v>
      </c>
      <c r="AG12" s="98">
        <v>3</v>
      </c>
      <c r="AI12" s="27">
        <v>3</v>
      </c>
      <c r="AJ12" s="84">
        <f t="shared" si="1"/>
        <v>5</v>
      </c>
      <c r="AK12" s="85">
        <v>5</v>
      </c>
      <c r="AL12" s="85">
        <f t="shared" si="4"/>
        <v>10000</v>
      </c>
      <c r="AM12" s="87">
        <v>3</v>
      </c>
    </row>
    <row r="13" spans="2:39" ht="12.75" customHeight="1">
      <c r="B13" s="110" t="s">
        <v>0</v>
      </c>
      <c r="C13" s="20" t="s">
        <v>42</v>
      </c>
      <c r="D13" s="21" t="s">
        <v>43</v>
      </c>
      <c r="E13" s="103" t="s">
        <v>22</v>
      </c>
      <c r="F13" s="104"/>
      <c r="G13" s="104"/>
      <c r="H13" s="104"/>
      <c r="I13" s="104"/>
      <c r="J13" s="104"/>
      <c r="K13" s="105"/>
      <c r="L13" s="105"/>
      <c r="M13" s="105"/>
      <c r="N13" s="106"/>
      <c r="P13" s="9" t="s">
        <v>30</v>
      </c>
      <c r="Q13" s="15">
        <f t="shared" si="2"/>
        <v>0.4</v>
      </c>
      <c r="S13" s="9" t="s">
        <v>30</v>
      </c>
      <c r="T13" s="63">
        <v>0.4</v>
      </c>
      <c r="U13" s="64">
        <f t="shared" si="3"/>
        <v>24.972</v>
      </c>
      <c r="V13" s="1">
        <v>6</v>
      </c>
      <c r="X13" s="27" t="s">
        <v>13</v>
      </c>
      <c r="Y13" s="17">
        <v>575</v>
      </c>
      <c r="Z13" s="28">
        <f t="shared" si="5"/>
        <v>22.637795275590552</v>
      </c>
      <c r="AA13" s="17">
        <v>6000</v>
      </c>
      <c r="AB13" s="29">
        <f t="shared" si="6"/>
        <v>236.2204724409449</v>
      </c>
      <c r="AC13" s="27">
        <v>4</v>
      </c>
      <c r="AD13" s="93">
        <f t="shared" si="0"/>
        <v>50</v>
      </c>
      <c r="AE13" s="91">
        <v>50</v>
      </c>
      <c r="AF13" s="91">
        <v>2</v>
      </c>
      <c r="AG13" s="98">
        <v>4</v>
      </c>
      <c r="AI13" s="27">
        <v>4</v>
      </c>
      <c r="AJ13" s="84">
        <f t="shared" si="1"/>
        <v>10</v>
      </c>
      <c r="AK13" s="85">
        <v>10</v>
      </c>
      <c r="AL13" s="85">
        <f t="shared" si="4"/>
        <v>20000</v>
      </c>
      <c r="AM13" s="87">
        <v>4</v>
      </c>
    </row>
    <row r="14" spans="2:39" ht="13.5" customHeight="1" thickBot="1">
      <c r="B14" s="111"/>
      <c r="C14" s="22" t="s">
        <v>71</v>
      </c>
      <c r="D14" s="23" t="s">
        <v>72</v>
      </c>
      <c r="E14" s="35">
        <v>15</v>
      </c>
      <c r="F14" s="36">
        <v>20</v>
      </c>
      <c r="G14" s="36">
        <v>25</v>
      </c>
      <c r="H14" s="36">
        <v>30</v>
      </c>
      <c r="I14" s="36">
        <v>35</v>
      </c>
      <c r="J14" s="36">
        <v>40</v>
      </c>
      <c r="K14" s="37">
        <v>45</v>
      </c>
      <c r="L14" s="37">
        <v>50</v>
      </c>
      <c r="M14" s="37">
        <v>55</v>
      </c>
      <c r="N14" s="38">
        <v>60</v>
      </c>
      <c r="P14" s="9" t="s">
        <v>25</v>
      </c>
      <c r="Q14" s="15">
        <f t="shared" si="2"/>
        <v>0.4</v>
      </c>
      <c r="S14" s="9" t="s">
        <v>25</v>
      </c>
      <c r="T14" s="63">
        <v>0.4</v>
      </c>
      <c r="U14" s="64">
        <f t="shared" si="3"/>
        <v>24.972</v>
      </c>
      <c r="V14" s="1">
        <v>7</v>
      </c>
      <c r="X14" s="27" t="s">
        <v>14</v>
      </c>
      <c r="Y14" s="17">
        <v>575</v>
      </c>
      <c r="Z14" s="28">
        <f t="shared" si="5"/>
        <v>22.637795275590552</v>
      </c>
      <c r="AA14" s="17">
        <v>8000</v>
      </c>
      <c r="AB14" s="29">
        <f t="shared" si="6"/>
        <v>314.96062992125985</v>
      </c>
      <c r="AC14" s="27">
        <v>5</v>
      </c>
      <c r="AD14" s="93">
        <f t="shared" si="0"/>
        <v>62.5</v>
      </c>
      <c r="AE14" s="91">
        <v>62.5</v>
      </c>
      <c r="AF14" s="91">
        <v>2.5</v>
      </c>
      <c r="AG14" s="98">
        <v>5</v>
      </c>
      <c r="AI14" s="27">
        <v>5</v>
      </c>
      <c r="AJ14" s="84">
        <f t="shared" si="1"/>
        <v>15</v>
      </c>
      <c r="AK14" s="85">
        <v>15</v>
      </c>
      <c r="AL14" s="85">
        <f t="shared" si="4"/>
        <v>30000</v>
      </c>
      <c r="AM14" s="87">
        <v>5</v>
      </c>
    </row>
    <row r="15" spans="2:39" ht="13.5" thickBot="1">
      <c r="B15" s="150"/>
      <c r="C15" s="22" t="str">
        <f>"("&amp;VLOOKUP(Q3,S4:W5,5,0)&amp;")"</f>
        <v>(mm)</v>
      </c>
      <c r="D15" s="23" t="str">
        <f>"("&amp;VLOOKUP(Q3,S4:W5,5,0)&amp;")"</f>
        <v>(mm)</v>
      </c>
      <c r="E15" s="146" t="str">
        <f>"THROUGHPUT ("&amp;VLOOKUP(Q3,S4:X5,3,0)&amp;")"</f>
        <v>THROUGHPUT (tonne/hr)</v>
      </c>
      <c r="F15" s="147"/>
      <c r="G15" s="147"/>
      <c r="H15" s="147"/>
      <c r="I15" s="147"/>
      <c r="J15" s="147"/>
      <c r="K15" s="148"/>
      <c r="L15" s="148"/>
      <c r="M15" s="148"/>
      <c r="N15" s="149"/>
      <c r="P15" s="9" t="s">
        <v>5</v>
      </c>
      <c r="Q15" s="15">
        <f t="shared" si="2"/>
        <v>0.35</v>
      </c>
      <c r="S15" s="9" t="s">
        <v>5</v>
      </c>
      <c r="T15" s="63">
        <v>0.35</v>
      </c>
      <c r="U15" s="64">
        <f t="shared" si="3"/>
        <v>21.8505</v>
      </c>
      <c r="V15" s="1">
        <v>8</v>
      </c>
      <c r="X15" s="76" t="s">
        <v>38</v>
      </c>
      <c r="Y15" s="77">
        <v>975</v>
      </c>
      <c r="Z15" s="28">
        <f t="shared" si="5"/>
        <v>38.38582677165355</v>
      </c>
      <c r="AA15" s="77">
        <v>2000</v>
      </c>
      <c r="AB15" s="29">
        <f t="shared" si="6"/>
        <v>78.74015748031496</v>
      </c>
      <c r="AC15" s="27">
        <v>6</v>
      </c>
      <c r="AD15" s="93">
        <f t="shared" si="0"/>
        <v>75</v>
      </c>
      <c r="AE15" s="91">
        <v>75</v>
      </c>
      <c r="AF15" s="91">
        <v>3</v>
      </c>
      <c r="AG15" s="98">
        <v>6</v>
      </c>
      <c r="AI15" s="27">
        <v>6</v>
      </c>
      <c r="AJ15" s="84">
        <f t="shared" si="1"/>
        <v>20</v>
      </c>
      <c r="AK15" s="85">
        <v>20</v>
      </c>
      <c r="AL15" s="85">
        <f t="shared" si="4"/>
        <v>40000</v>
      </c>
      <c r="AM15" s="87">
        <v>6</v>
      </c>
    </row>
    <row r="16" spans="2:39" ht="12.75">
      <c r="B16" s="24" t="s">
        <v>8</v>
      </c>
      <c r="C16" s="25">
        <f>HLOOKUP($Q$3,$Y$10:$Z$23,$V9,0)</f>
        <v>575</v>
      </c>
      <c r="D16" s="26">
        <f>HLOOKUP($Q$3,$AA$10:$AB$23,$V9,0)</f>
        <v>2000</v>
      </c>
      <c r="E16" s="47">
        <f aca="true" t="shared" si="7" ref="E16:N28">($K$6*$C16*$D16/VLOOKUP($Q$3,$S$4:$X$5,6,0))*(60/E$14)*$J$4</f>
        <v>0</v>
      </c>
      <c r="F16" s="48">
        <f t="shared" si="7"/>
        <v>0</v>
      </c>
      <c r="G16" s="48">
        <f t="shared" si="7"/>
        <v>0</v>
      </c>
      <c r="H16" s="48">
        <f t="shared" si="7"/>
        <v>0</v>
      </c>
      <c r="I16" s="48">
        <f t="shared" si="7"/>
        <v>0</v>
      </c>
      <c r="J16" s="48">
        <f t="shared" si="7"/>
        <v>0</v>
      </c>
      <c r="K16" s="48">
        <f t="shared" si="7"/>
        <v>0</v>
      </c>
      <c r="L16" s="48">
        <f t="shared" si="7"/>
        <v>0</v>
      </c>
      <c r="M16" s="48">
        <f t="shared" si="7"/>
        <v>0</v>
      </c>
      <c r="N16" s="49">
        <f t="shared" si="7"/>
        <v>0</v>
      </c>
      <c r="P16" s="9" t="s">
        <v>16</v>
      </c>
      <c r="Q16" s="15">
        <f t="shared" si="2"/>
        <v>0.475</v>
      </c>
      <c r="S16" s="9" t="s">
        <v>16</v>
      </c>
      <c r="T16" s="63">
        <v>0.475</v>
      </c>
      <c r="U16" s="64">
        <f t="shared" si="3"/>
        <v>29.654249999999998</v>
      </c>
      <c r="V16" s="1">
        <v>9</v>
      </c>
      <c r="X16" s="27" t="s">
        <v>9</v>
      </c>
      <c r="Y16" s="17">
        <v>975</v>
      </c>
      <c r="Z16" s="28">
        <f t="shared" si="5"/>
        <v>38.38582677165355</v>
      </c>
      <c r="AA16" s="17">
        <v>4000</v>
      </c>
      <c r="AB16" s="29">
        <f t="shared" si="6"/>
        <v>157.48031496062993</v>
      </c>
      <c r="AC16" s="27">
        <v>7</v>
      </c>
      <c r="AD16" s="93">
        <f t="shared" si="0"/>
        <v>87.5</v>
      </c>
      <c r="AE16" s="91">
        <v>87.5</v>
      </c>
      <c r="AF16" s="91">
        <v>3.5</v>
      </c>
      <c r="AG16" s="98">
        <v>7</v>
      </c>
      <c r="AI16" s="27">
        <v>7</v>
      </c>
      <c r="AJ16" s="84">
        <f t="shared" si="1"/>
        <v>25</v>
      </c>
      <c r="AK16" s="85">
        <v>25</v>
      </c>
      <c r="AL16" s="85">
        <f t="shared" si="4"/>
        <v>50000</v>
      </c>
      <c r="AM16" s="87">
        <v>7</v>
      </c>
    </row>
    <row r="17" spans="2:39" ht="12.75">
      <c r="B17" s="27" t="s">
        <v>12</v>
      </c>
      <c r="C17" s="28">
        <f aca="true" t="shared" si="8" ref="C17:C28">HLOOKUP($Q$3,$Y$10:$Z$23,$V10,0)</f>
        <v>575</v>
      </c>
      <c r="D17" s="29">
        <f aca="true" t="shared" si="9" ref="D17:D28">HLOOKUP($Q$3,$AA$10:$AB$23,$V10,0)</f>
        <v>4000</v>
      </c>
      <c r="E17" s="50">
        <f t="shared" si="7"/>
        <v>0</v>
      </c>
      <c r="F17" s="51">
        <f t="shared" si="7"/>
        <v>0</v>
      </c>
      <c r="G17" s="51">
        <f t="shared" si="7"/>
        <v>0</v>
      </c>
      <c r="H17" s="51">
        <f t="shared" si="7"/>
        <v>0</v>
      </c>
      <c r="I17" s="51">
        <f t="shared" si="7"/>
        <v>0</v>
      </c>
      <c r="J17" s="51">
        <f t="shared" si="7"/>
        <v>0</v>
      </c>
      <c r="K17" s="51">
        <f t="shared" si="7"/>
        <v>0</v>
      </c>
      <c r="L17" s="51">
        <f t="shared" si="7"/>
        <v>0</v>
      </c>
      <c r="M17" s="51">
        <f t="shared" si="7"/>
        <v>0</v>
      </c>
      <c r="N17" s="52">
        <f t="shared" si="7"/>
        <v>0</v>
      </c>
      <c r="P17" s="9" t="s">
        <v>18</v>
      </c>
      <c r="Q17" s="15">
        <f t="shared" si="2"/>
        <v>0.485</v>
      </c>
      <c r="S17" s="9" t="s">
        <v>18</v>
      </c>
      <c r="T17" s="63">
        <v>0.485</v>
      </c>
      <c r="U17" s="64">
        <f t="shared" si="3"/>
        <v>30.27855</v>
      </c>
      <c r="V17" s="1">
        <v>10</v>
      </c>
      <c r="X17" s="27" t="s">
        <v>10</v>
      </c>
      <c r="Y17" s="17">
        <v>975</v>
      </c>
      <c r="Z17" s="28">
        <f t="shared" si="5"/>
        <v>38.38582677165355</v>
      </c>
      <c r="AA17" s="17">
        <v>6000</v>
      </c>
      <c r="AB17" s="29">
        <f t="shared" si="6"/>
        <v>236.2204724409449</v>
      </c>
      <c r="AC17" s="27">
        <v>8</v>
      </c>
      <c r="AD17" s="93">
        <f t="shared" si="0"/>
        <v>100</v>
      </c>
      <c r="AE17" s="91">
        <v>100</v>
      </c>
      <c r="AF17" s="91">
        <v>4</v>
      </c>
      <c r="AG17" s="98">
        <v>8</v>
      </c>
      <c r="AI17" s="27">
        <v>8</v>
      </c>
      <c r="AJ17" s="84">
        <f t="shared" si="1"/>
        <v>30</v>
      </c>
      <c r="AK17" s="85">
        <v>30</v>
      </c>
      <c r="AL17" s="85">
        <f t="shared" si="4"/>
        <v>60000</v>
      </c>
      <c r="AM17" s="87">
        <v>8</v>
      </c>
    </row>
    <row r="18" spans="2:39" ht="12.75">
      <c r="B18" s="27" t="s">
        <v>13</v>
      </c>
      <c r="C18" s="28">
        <f t="shared" si="8"/>
        <v>575</v>
      </c>
      <c r="D18" s="29">
        <f t="shared" si="9"/>
        <v>6000</v>
      </c>
      <c r="E18" s="50">
        <f t="shared" si="7"/>
        <v>0</v>
      </c>
      <c r="F18" s="51">
        <f t="shared" si="7"/>
        <v>0</v>
      </c>
      <c r="G18" s="51">
        <f t="shared" si="7"/>
        <v>0</v>
      </c>
      <c r="H18" s="51">
        <f t="shared" si="7"/>
        <v>0</v>
      </c>
      <c r="I18" s="51">
        <f t="shared" si="7"/>
        <v>0</v>
      </c>
      <c r="J18" s="51">
        <f t="shared" si="7"/>
        <v>0</v>
      </c>
      <c r="K18" s="51">
        <f t="shared" si="7"/>
        <v>0</v>
      </c>
      <c r="L18" s="51">
        <f t="shared" si="7"/>
        <v>0</v>
      </c>
      <c r="M18" s="51">
        <f t="shared" si="7"/>
        <v>0</v>
      </c>
      <c r="N18" s="52">
        <f t="shared" si="7"/>
        <v>0</v>
      </c>
      <c r="P18" s="9" t="s">
        <v>17</v>
      </c>
      <c r="Q18" s="15">
        <f t="shared" si="2"/>
        <v>0.465</v>
      </c>
      <c r="S18" s="9" t="s">
        <v>17</v>
      </c>
      <c r="T18" s="63">
        <v>0.465</v>
      </c>
      <c r="U18" s="64">
        <f t="shared" si="3"/>
        <v>29.029950000000003</v>
      </c>
      <c r="V18" s="1">
        <v>11</v>
      </c>
      <c r="X18" s="27" t="s">
        <v>11</v>
      </c>
      <c r="Y18" s="17">
        <v>975</v>
      </c>
      <c r="Z18" s="28">
        <f t="shared" si="5"/>
        <v>38.38582677165355</v>
      </c>
      <c r="AA18" s="17">
        <v>8000</v>
      </c>
      <c r="AB18" s="29">
        <f t="shared" si="6"/>
        <v>314.96062992125985</v>
      </c>
      <c r="AC18" s="27">
        <v>9</v>
      </c>
      <c r="AD18" s="93">
        <f t="shared" si="0"/>
        <v>112.5</v>
      </c>
      <c r="AE18" s="91">
        <v>112.5</v>
      </c>
      <c r="AF18" s="91">
        <v>4.5</v>
      </c>
      <c r="AG18" s="98">
        <v>9</v>
      </c>
      <c r="AI18" s="27">
        <v>9</v>
      </c>
      <c r="AJ18" s="84">
        <f t="shared" si="1"/>
        <v>35</v>
      </c>
      <c r="AK18" s="85">
        <v>35</v>
      </c>
      <c r="AL18" s="85">
        <f t="shared" si="4"/>
        <v>70000</v>
      </c>
      <c r="AM18" s="87">
        <v>9</v>
      </c>
    </row>
    <row r="19" spans="2:39" ht="13.5" thickBot="1">
      <c r="B19" s="30" t="s">
        <v>14</v>
      </c>
      <c r="C19" s="31">
        <f t="shared" si="8"/>
        <v>575</v>
      </c>
      <c r="D19" s="32">
        <f t="shared" si="9"/>
        <v>8000</v>
      </c>
      <c r="E19" s="53">
        <f t="shared" si="7"/>
        <v>0</v>
      </c>
      <c r="F19" s="54">
        <f t="shared" si="7"/>
        <v>0</v>
      </c>
      <c r="G19" s="54">
        <f t="shared" si="7"/>
        <v>0</v>
      </c>
      <c r="H19" s="54">
        <f t="shared" si="7"/>
        <v>0</v>
      </c>
      <c r="I19" s="54">
        <f t="shared" si="7"/>
        <v>0</v>
      </c>
      <c r="J19" s="54">
        <f t="shared" si="7"/>
        <v>0</v>
      </c>
      <c r="K19" s="54">
        <f t="shared" si="7"/>
        <v>0</v>
      </c>
      <c r="L19" s="54">
        <f t="shared" si="7"/>
        <v>0</v>
      </c>
      <c r="M19" s="54">
        <f t="shared" si="7"/>
        <v>0</v>
      </c>
      <c r="N19" s="55">
        <f t="shared" si="7"/>
        <v>0</v>
      </c>
      <c r="P19" s="9" t="s">
        <v>52</v>
      </c>
      <c r="Q19" s="82"/>
      <c r="S19" s="9" t="s">
        <v>52</v>
      </c>
      <c r="T19" s="63"/>
      <c r="U19" s="64">
        <f t="shared" si="3"/>
        <v>0</v>
      </c>
      <c r="V19" s="1">
        <v>12</v>
      </c>
      <c r="X19" s="27" t="s">
        <v>47</v>
      </c>
      <c r="Y19" s="17">
        <v>1975</v>
      </c>
      <c r="Z19" s="28">
        <f t="shared" si="5"/>
        <v>77.75590551181102</v>
      </c>
      <c r="AA19" s="17">
        <v>4000</v>
      </c>
      <c r="AB19" s="29">
        <f t="shared" si="6"/>
        <v>157.48031496062993</v>
      </c>
      <c r="AC19" s="30">
        <v>10</v>
      </c>
      <c r="AD19" s="95">
        <f t="shared" si="0"/>
        <v>125</v>
      </c>
      <c r="AE19" s="92">
        <v>125</v>
      </c>
      <c r="AF19" s="92">
        <v>5</v>
      </c>
      <c r="AG19" s="99">
        <v>10</v>
      </c>
      <c r="AI19" s="27">
        <v>10</v>
      </c>
      <c r="AJ19" s="84">
        <f t="shared" si="1"/>
        <v>40</v>
      </c>
      <c r="AK19" s="85">
        <v>40</v>
      </c>
      <c r="AL19" s="85">
        <f t="shared" si="4"/>
        <v>80000</v>
      </c>
      <c r="AM19" s="87">
        <v>10</v>
      </c>
    </row>
    <row r="20" spans="2:39" ht="12.75">
      <c r="B20" s="33" t="s">
        <v>38</v>
      </c>
      <c r="C20" s="25">
        <f t="shared" si="8"/>
        <v>975</v>
      </c>
      <c r="D20" s="26">
        <f t="shared" si="9"/>
        <v>2000</v>
      </c>
      <c r="E20" s="47">
        <f t="shared" si="7"/>
        <v>0</v>
      </c>
      <c r="F20" s="48">
        <f t="shared" si="7"/>
        <v>0</v>
      </c>
      <c r="G20" s="48">
        <f t="shared" si="7"/>
        <v>0</v>
      </c>
      <c r="H20" s="48">
        <f t="shared" si="7"/>
        <v>0</v>
      </c>
      <c r="I20" s="48">
        <f t="shared" si="7"/>
        <v>0</v>
      </c>
      <c r="J20" s="48">
        <f t="shared" si="7"/>
        <v>0</v>
      </c>
      <c r="K20" s="48">
        <f t="shared" si="7"/>
        <v>0</v>
      </c>
      <c r="L20" s="48">
        <f t="shared" si="7"/>
        <v>0</v>
      </c>
      <c r="M20" s="48">
        <f t="shared" si="7"/>
        <v>0</v>
      </c>
      <c r="N20" s="49">
        <f t="shared" si="7"/>
        <v>0</v>
      </c>
      <c r="P20" s="9" t="s">
        <v>2</v>
      </c>
      <c r="Q20" s="15">
        <f t="shared" si="2"/>
        <v>0.336</v>
      </c>
      <c r="S20" s="9" t="s">
        <v>2</v>
      </c>
      <c r="T20" s="63">
        <v>0.336</v>
      </c>
      <c r="U20" s="64">
        <f t="shared" si="3"/>
        <v>20.976480000000002</v>
      </c>
      <c r="V20" s="1">
        <v>13</v>
      </c>
      <c r="X20" s="27" t="s">
        <v>48</v>
      </c>
      <c r="Y20" s="17">
        <v>1975</v>
      </c>
      <c r="Z20" s="28">
        <f t="shared" si="5"/>
        <v>77.75590551181102</v>
      </c>
      <c r="AA20" s="17">
        <v>6000</v>
      </c>
      <c r="AB20" s="83">
        <f t="shared" si="6"/>
        <v>236.2204724409449</v>
      </c>
      <c r="AI20" s="27">
        <v>11</v>
      </c>
      <c r="AJ20" s="84">
        <f t="shared" si="1"/>
        <v>50</v>
      </c>
      <c r="AK20" s="85">
        <v>50</v>
      </c>
      <c r="AL20" s="85">
        <f t="shared" si="4"/>
        <v>100000</v>
      </c>
      <c r="AM20" s="87">
        <v>11</v>
      </c>
    </row>
    <row r="21" spans="2:39" ht="12.75">
      <c r="B21" s="34" t="s">
        <v>9</v>
      </c>
      <c r="C21" s="28">
        <f t="shared" si="8"/>
        <v>975</v>
      </c>
      <c r="D21" s="29">
        <f t="shared" si="9"/>
        <v>4000</v>
      </c>
      <c r="E21" s="50">
        <f t="shared" si="7"/>
        <v>0</v>
      </c>
      <c r="F21" s="51">
        <f t="shared" si="7"/>
        <v>0</v>
      </c>
      <c r="G21" s="51">
        <f t="shared" si="7"/>
        <v>0</v>
      </c>
      <c r="H21" s="51">
        <f t="shared" si="7"/>
        <v>0</v>
      </c>
      <c r="I21" s="51">
        <f t="shared" si="7"/>
        <v>0</v>
      </c>
      <c r="J21" s="51">
        <f t="shared" si="7"/>
        <v>0</v>
      </c>
      <c r="K21" s="51">
        <f t="shared" si="7"/>
        <v>0</v>
      </c>
      <c r="L21" s="51">
        <f t="shared" si="7"/>
        <v>0</v>
      </c>
      <c r="M21" s="51">
        <f t="shared" si="7"/>
        <v>0</v>
      </c>
      <c r="N21" s="52">
        <f t="shared" si="7"/>
        <v>0</v>
      </c>
      <c r="P21" s="9" t="s">
        <v>19</v>
      </c>
      <c r="Q21" s="15">
        <f t="shared" si="2"/>
        <v>0.449</v>
      </c>
      <c r="S21" s="9" t="s">
        <v>19</v>
      </c>
      <c r="T21" s="63">
        <v>0.449</v>
      </c>
      <c r="U21" s="64">
        <f t="shared" si="3"/>
        <v>28.03107</v>
      </c>
      <c r="V21" s="1">
        <v>14</v>
      </c>
      <c r="X21" s="27" t="s">
        <v>49</v>
      </c>
      <c r="Y21" s="17">
        <v>1975</v>
      </c>
      <c r="Z21" s="28">
        <f t="shared" si="5"/>
        <v>77.75590551181102</v>
      </c>
      <c r="AA21" s="17">
        <v>8000</v>
      </c>
      <c r="AB21" s="83">
        <f t="shared" si="6"/>
        <v>314.96062992125985</v>
      </c>
      <c r="AI21" s="27">
        <v>12</v>
      </c>
      <c r="AJ21" s="84">
        <f t="shared" si="1"/>
        <v>60</v>
      </c>
      <c r="AK21" s="85">
        <v>60</v>
      </c>
      <c r="AL21" s="85">
        <f t="shared" si="4"/>
        <v>120000</v>
      </c>
      <c r="AM21" s="87">
        <v>12</v>
      </c>
    </row>
    <row r="22" spans="2:39" ht="12.75">
      <c r="B22" s="27" t="s">
        <v>10</v>
      </c>
      <c r="C22" s="28">
        <f t="shared" si="8"/>
        <v>975</v>
      </c>
      <c r="D22" s="29">
        <f t="shared" si="9"/>
        <v>6000</v>
      </c>
      <c r="E22" s="50">
        <f t="shared" si="7"/>
        <v>0</v>
      </c>
      <c r="F22" s="51">
        <f t="shared" si="7"/>
        <v>0</v>
      </c>
      <c r="G22" s="51">
        <f t="shared" si="7"/>
        <v>0</v>
      </c>
      <c r="H22" s="51">
        <f t="shared" si="7"/>
        <v>0</v>
      </c>
      <c r="I22" s="51">
        <f t="shared" si="7"/>
        <v>0</v>
      </c>
      <c r="J22" s="51">
        <f t="shared" si="7"/>
        <v>0</v>
      </c>
      <c r="K22" s="51">
        <f t="shared" si="7"/>
        <v>0</v>
      </c>
      <c r="L22" s="51">
        <f t="shared" si="7"/>
        <v>0</v>
      </c>
      <c r="M22" s="51">
        <f t="shared" si="7"/>
        <v>0</v>
      </c>
      <c r="N22" s="52">
        <f t="shared" si="7"/>
        <v>0</v>
      </c>
      <c r="P22" s="9" t="s">
        <v>51</v>
      </c>
      <c r="Q22" s="15">
        <f t="shared" si="2"/>
        <v>0.689</v>
      </c>
      <c r="S22" s="9" t="s">
        <v>51</v>
      </c>
      <c r="T22" s="63">
        <v>0.689</v>
      </c>
      <c r="U22" s="64">
        <f t="shared" si="3"/>
        <v>43.014269999999996</v>
      </c>
      <c r="V22" s="1">
        <v>15</v>
      </c>
      <c r="X22" s="27" t="s">
        <v>50</v>
      </c>
      <c r="Y22" s="17">
        <v>1975</v>
      </c>
      <c r="Z22" s="28">
        <f t="shared" si="5"/>
        <v>77.75590551181102</v>
      </c>
      <c r="AA22" s="17">
        <v>10000</v>
      </c>
      <c r="AB22" s="83">
        <f t="shared" si="6"/>
        <v>393.7007874015748</v>
      </c>
      <c r="AI22" s="27">
        <v>13</v>
      </c>
      <c r="AJ22" s="84">
        <f t="shared" si="1"/>
        <v>70</v>
      </c>
      <c r="AK22" s="85">
        <v>70</v>
      </c>
      <c r="AL22" s="85">
        <f t="shared" si="4"/>
        <v>140000</v>
      </c>
      <c r="AM22" s="87">
        <v>13</v>
      </c>
    </row>
    <row r="23" spans="2:39" ht="13.5" thickBot="1">
      <c r="B23" s="30" t="s">
        <v>11</v>
      </c>
      <c r="C23" s="31">
        <f t="shared" si="8"/>
        <v>975</v>
      </c>
      <c r="D23" s="32">
        <f t="shared" si="9"/>
        <v>8000</v>
      </c>
      <c r="E23" s="53">
        <f t="shared" si="7"/>
        <v>0</v>
      </c>
      <c r="F23" s="54">
        <f t="shared" si="7"/>
        <v>0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4">
        <f t="shared" si="7"/>
        <v>0</v>
      </c>
      <c r="L23" s="54">
        <f t="shared" si="7"/>
        <v>0</v>
      </c>
      <c r="M23" s="54">
        <f t="shared" si="7"/>
        <v>0</v>
      </c>
      <c r="N23" s="55">
        <f t="shared" si="7"/>
        <v>0</v>
      </c>
      <c r="P23" s="9" t="s">
        <v>6</v>
      </c>
      <c r="Q23" s="15">
        <f t="shared" si="2"/>
        <v>0.35</v>
      </c>
      <c r="S23" s="9" t="s">
        <v>6</v>
      </c>
      <c r="T23" s="63">
        <v>0.35</v>
      </c>
      <c r="U23" s="64">
        <f t="shared" si="3"/>
        <v>21.8505</v>
      </c>
      <c r="V23" s="1">
        <v>16</v>
      </c>
      <c r="X23" s="30" t="s">
        <v>53</v>
      </c>
      <c r="Y23" s="78">
        <v>1975</v>
      </c>
      <c r="Z23" s="31">
        <f t="shared" si="5"/>
        <v>77.75590551181102</v>
      </c>
      <c r="AA23" s="78">
        <v>12000</v>
      </c>
      <c r="AB23" s="96">
        <f t="shared" si="6"/>
        <v>472.4409448818898</v>
      </c>
      <c r="AI23" s="27">
        <v>14</v>
      </c>
      <c r="AJ23" s="84">
        <f t="shared" si="1"/>
        <v>80</v>
      </c>
      <c r="AK23" s="85">
        <v>80</v>
      </c>
      <c r="AL23" s="85">
        <f t="shared" si="4"/>
        <v>160000</v>
      </c>
      <c r="AM23" s="87">
        <v>14</v>
      </c>
    </row>
    <row r="24" spans="2:39" ht="12.75">
      <c r="B24" s="24" t="s">
        <v>47</v>
      </c>
      <c r="C24" s="25">
        <f t="shared" si="8"/>
        <v>1975</v>
      </c>
      <c r="D24" s="26">
        <f t="shared" si="9"/>
        <v>4000</v>
      </c>
      <c r="E24" s="47">
        <f t="shared" si="7"/>
        <v>0</v>
      </c>
      <c r="F24" s="48">
        <f t="shared" si="7"/>
        <v>0</v>
      </c>
      <c r="G24" s="48">
        <f t="shared" si="7"/>
        <v>0</v>
      </c>
      <c r="H24" s="48">
        <f t="shared" si="7"/>
        <v>0</v>
      </c>
      <c r="I24" s="48">
        <f t="shared" si="7"/>
        <v>0</v>
      </c>
      <c r="J24" s="48">
        <f t="shared" si="7"/>
        <v>0</v>
      </c>
      <c r="K24" s="48">
        <f t="shared" si="7"/>
        <v>0</v>
      </c>
      <c r="L24" s="48">
        <f t="shared" si="7"/>
        <v>0</v>
      </c>
      <c r="M24" s="48">
        <f t="shared" si="7"/>
        <v>0</v>
      </c>
      <c r="N24" s="49">
        <f t="shared" si="7"/>
        <v>0</v>
      </c>
      <c r="P24" s="40" t="s">
        <v>26</v>
      </c>
      <c r="Q24" s="15">
        <f t="shared" si="2"/>
        <v>0.45</v>
      </c>
      <c r="S24" s="9" t="s">
        <v>26</v>
      </c>
      <c r="T24" s="63">
        <v>0.45</v>
      </c>
      <c r="U24" s="64">
        <f t="shared" si="3"/>
        <v>28.0935</v>
      </c>
      <c r="V24" s="1">
        <v>17</v>
      </c>
      <c r="AI24" s="27">
        <v>15</v>
      </c>
      <c r="AJ24" s="84">
        <f t="shared" si="1"/>
        <v>90</v>
      </c>
      <c r="AK24" s="85">
        <v>90</v>
      </c>
      <c r="AL24" s="85">
        <f t="shared" si="4"/>
        <v>180000</v>
      </c>
      <c r="AM24" s="87">
        <v>15</v>
      </c>
    </row>
    <row r="25" spans="2:39" ht="12.75">
      <c r="B25" s="27" t="s">
        <v>48</v>
      </c>
      <c r="C25" s="28">
        <f t="shared" si="8"/>
        <v>1975</v>
      </c>
      <c r="D25" s="29">
        <f t="shared" si="9"/>
        <v>6000</v>
      </c>
      <c r="E25" s="50">
        <f t="shared" si="7"/>
        <v>0</v>
      </c>
      <c r="F25" s="51">
        <f t="shared" si="7"/>
        <v>0</v>
      </c>
      <c r="G25" s="51">
        <f t="shared" si="7"/>
        <v>0</v>
      </c>
      <c r="H25" s="51">
        <f t="shared" si="7"/>
        <v>0</v>
      </c>
      <c r="I25" s="51">
        <f t="shared" si="7"/>
        <v>0</v>
      </c>
      <c r="J25" s="51">
        <f t="shared" si="7"/>
        <v>0</v>
      </c>
      <c r="K25" s="51">
        <f t="shared" si="7"/>
        <v>0</v>
      </c>
      <c r="L25" s="51">
        <f t="shared" si="7"/>
        <v>0</v>
      </c>
      <c r="M25" s="51">
        <f t="shared" si="7"/>
        <v>0</v>
      </c>
      <c r="N25" s="52">
        <f t="shared" si="7"/>
        <v>0</v>
      </c>
      <c r="P25" s="40" t="s">
        <v>27</v>
      </c>
      <c r="Q25" s="15">
        <f t="shared" si="2"/>
        <v>0.49</v>
      </c>
      <c r="S25" s="9" t="s">
        <v>27</v>
      </c>
      <c r="T25" s="63">
        <v>0.49</v>
      </c>
      <c r="U25" s="64">
        <f t="shared" si="3"/>
        <v>30.5907</v>
      </c>
      <c r="V25" s="1">
        <v>18</v>
      </c>
      <c r="AI25" s="27">
        <v>16</v>
      </c>
      <c r="AJ25" s="84">
        <f t="shared" si="1"/>
        <v>100</v>
      </c>
      <c r="AK25" s="85">
        <v>100</v>
      </c>
      <c r="AL25" s="85">
        <f t="shared" si="4"/>
        <v>200000</v>
      </c>
      <c r="AM25" s="87">
        <v>16</v>
      </c>
    </row>
    <row r="26" spans="2:39" ht="13.5" thickBot="1">
      <c r="B26" s="27" t="s">
        <v>49</v>
      </c>
      <c r="C26" s="28">
        <f t="shared" si="8"/>
        <v>1975</v>
      </c>
      <c r="D26" s="29">
        <f t="shared" si="9"/>
        <v>8000</v>
      </c>
      <c r="E26" s="50">
        <f t="shared" si="7"/>
        <v>0</v>
      </c>
      <c r="F26" s="51">
        <f t="shared" si="7"/>
        <v>0</v>
      </c>
      <c r="G26" s="51">
        <f t="shared" si="7"/>
        <v>0</v>
      </c>
      <c r="H26" s="51">
        <f t="shared" si="7"/>
        <v>0</v>
      </c>
      <c r="I26" s="51">
        <f t="shared" si="7"/>
        <v>0</v>
      </c>
      <c r="J26" s="51">
        <f t="shared" si="7"/>
        <v>0</v>
      </c>
      <c r="K26" s="51">
        <f t="shared" si="7"/>
        <v>0</v>
      </c>
      <c r="L26" s="51">
        <f t="shared" si="7"/>
        <v>0</v>
      </c>
      <c r="M26" s="51">
        <f t="shared" si="7"/>
        <v>0</v>
      </c>
      <c r="N26" s="52">
        <f t="shared" si="7"/>
        <v>0</v>
      </c>
      <c r="P26" s="40" t="s">
        <v>28</v>
      </c>
      <c r="Q26" s="15">
        <f t="shared" si="2"/>
        <v>0.32</v>
      </c>
      <c r="S26" s="9" t="s">
        <v>28</v>
      </c>
      <c r="T26" s="63">
        <v>0.32</v>
      </c>
      <c r="U26" s="64">
        <f t="shared" si="3"/>
        <v>19.9776</v>
      </c>
      <c r="V26" s="1">
        <v>19</v>
      </c>
      <c r="AI26" s="27">
        <v>17</v>
      </c>
      <c r="AJ26" s="84">
        <f t="shared" si="1"/>
        <v>120</v>
      </c>
      <c r="AK26" s="85">
        <v>120</v>
      </c>
      <c r="AL26" s="85">
        <f t="shared" si="4"/>
        <v>240000</v>
      </c>
      <c r="AM26" s="87">
        <v>17</v>
      </c>
    </row>
    <row r="27" spans="2:39" ht="12.75">
      <c r="B27" s="27" t="s">
        <v>50</v>
      </c>
      <c r="C27" s="28">
        <f t="shared" si="8"/>
        <v>1975</v>
      </c>
      <c r="D27" s="29">
        <f t="shared" si="9"/>
        <v>10000</v>
      </c>
      <c r="E27" s="50">
        <f t="shared" si="7"/>
        <v>0</v>
      </c>
      <c r="F27" s="51">
        <f t="shared" si="7"/>
        <v>0</v>
      </c>
      <c r="G27" s="51">
        <f t="shared" si="7"/>
        <v>0</v>
      </c>
      <c r="H27" s="51">
        <f t="shared" si="7"/>
        <v>0</v>
      </c>
      <c r="I27" s="51">
        <f t="shared" si="7"/>
        <v>0</v>
      </c>
      <c r="J27" s="51">
        <f t="shared" si="7"/>
        <v>0</v>
      </c>
      <c r="K27" s="51">
        <f t="shared" si="7"/>
        <v>0</v>
      </c>
      <c r="L27" s="51">
        <f t="shared" si="7"/>
        <v>0</v>
      </c>
      <c r="M27" s="51">
        <f t="shared" si="7"/>
        <v>0</v>
      </c>
      <c r="N27" s="52">
        <f t="shared" si="7"/>
        <v>0</v>
      </c>
      <c r="P27" s="40" t="s">
        <v>29</v>
      </c>
      <c r="Q27" s="15">
        <f t="shared" si="2"/>
        <v>0.45</v>
      </c>
      <c r="S27" s="9" t="s">
        <v>29</v>
      </c>
      <c r="T27" s="63">
        <v>0.45</v>
      </c>
      <c r="U27" s="64">
        <f t="shared" si="3"/>
        <v>28.0935</v>
      </c>
      <c r="V27" s="1">
        <v>20</v>
      </c>
      <c r="X27" s="127" t="s">
        <v>80</v>
      </c>
      <c r="Y27" s="106"/>
      <c r="AI27" s="27">
        <v>18</v>
      </c>
      <c r="AJ27" s="84">
        <f t="shared" si="1"/>
        <v>150</v>
      </c>
      <c r="AK27" s="85">
        <v>150</v>
      </c>
      <c r="AL27" s="85">
        <f t="shared" si="4"/>
        <v>300000</v>
      </c>
      <c r="AM27" s="87">
        <v>18</v>
      </c>
    </row>
    <row r="28" spans="2:39" ht="13.5" thickBot="1">
      <c r="B28" s="30" t="s">
        <v>53</v>
      </c>
      <c r="C28" s="31">
        <f t="shared" si="8"/>
        <v>1975</v>
      </c>
      <c r="D28" s="32">
        <f t="shared" si="9"/>
        <v>12000</v>
      </c>
      <c r="E28" s="53">
        <f t="shared" si="7"/>
        <v>0</v>
      </c>
      <c r="F28" s="54">
        <f t="shared" si="7"/>
        <v>0</v>
      </c>
      <c r="G28" s="54">
        <f t="shared" si="7"/>
        <v>0</v>
      </c>
      <c r="H28" s="54">
        <f t="shared" si="7"/>
        <v>0</v>
      </c>
      <c r="I28" s="54">
        <f t="shared" si="7"/>
        <v>0</v>
      </c>
      <c r="J28" s="54">
        <f t="shared" si="7"/>
        <v>0</v>
      </c>
      <c r="K28" s="54">
        <f t="shared" si="7"/>
        <v>0</v>
      </c>
      <c r="L28" s="54">
        <f t="shared" si="7"/>
        <v>0</v>
      </c>
      <c r="M28" s="54">
        <f t="shared" si="7"/>
        <v>0</v>
      </c>
      <c r="N28" s="55">
        <f t="shared" si="7"/>
        <v>0</v>
      </c>
      <c r="P28" s="10" t="s">
        <v>7</v>
      </c>
      <c r="Q28" s="41">
        <f t="shared" si="2"/>
        <v>0.333</v>
      </c>
      <c r="S28" s="10" t="s">
        <v>7</v>
      </c>
      <c r="T28" s="65">
        <v>0.333</v>
      </c>
      <c r="U28" s="66">
        <f t="shared" si="3"/>
        <v>20.78919</v>
      </c>
      <c r="V28" s="1">
        <v>21</v>
      </c>
      <c r="X28" s="14">
        <f>IF(Q3="metric",125,5)</f>
        <v>125</v>
      </c>
      <c r="Y28" s="46" t="str">
        <f>IF(Q3="metric",W4,W5)</f>
        <v>mm</v>
      </c>
      <c r="AI28" s="30">
        <v>19</v>
      </c>
      <c r="AJ28" s="90">
        <f t="shared" si="1"/>
        <v>200</v>
      </c>
      <c r="AK28" s="88">
        <v>200</v>
      </c>
      <c r="AL28" s="88">
        <f t="shared" si="4"/>
        <v>400000</v>
      </c>
      <c r="AM28" s="89">
        <v>19</v>
      </c>
    </row>
    <row r="29" ht="13.5" thickBot="1"/>
    <row r="30" spans="9:17" ht="12.75" customHeight="1">
      <c r="I30" s="131" t="s">
        <v>54</v>
      </c>
      <c r="J30" s="132"/>
      <c r="K30" s="137" t="s">
        <v>55</v>
      </c>
      <c r="L30" s="137"/>
      <c r="M30" s="137"/>
      <c r="N30" s="138"/>
      <c r="P30" s="119" t="s">
        <v>77</v>
      </c>
      <c r="Q30" s="120"/>
    </row>
    <row r="31" spans="9:17" ht="12.75" customHeight="1">
      <c r="I31" s="133"/>
      <c r="J31" s="134"/>
      <c r="K31" s="139"/>
      <c r="L31" s="139"/>
      <c r="M31" s="139"/>
      <c r="N31" s="140"/>
      <c r="P31" s="121"/>
      <c r="Q31" s="122"/>
    </row>
    <row r="32" spans="9:17" ht="12.75" customHeight="1">
      <c r="I32" s="133"/>
      <c r="J32" s="134"/>
      <c r="K32" s="139"/>
      <c r="L32" s="139"/>
      <c r="M32" s="139"/>
      <c r="N32" s="140"/>
      <c r="P32" s="121"/>
      <c r="Q32" s="122"/>
    </row>
    <row r="33" spans="9:17" ht="13.5" customHeight="1">
      <c r="I33" s="133"/>
      <c r="J33" s="134"/>
      <c r="K33" s="139"/>
      <c r="L33" s="139"/>
      <c r="M33" s="139"/>
      <c r="N33" s="140"/>
      <c r="P33" s="121"/>
      <c r="Q33" s="122"/>
    </row>
    <row r="34" spans="9:17" ht="13.5" thickBot="1">
      <c r="I34" s="135"/>
      <c r="J34" s="136"/>
      <c r="K34" s="141"/>
      <c r="L34" s="141"/>
      <c r="M34" s="141"/>
      <c r="N34" s="142"/>
      <c r="P34" s="123"/>
      <c r="Q34" s="124"/>
    </row>
    <row r="36" ht="12.75">
      <c r="E36" s="4"/>
    </row>
    <row r="40" ht="12.75">
      <c r="E40" s="4"/>
    </row>
  </sheetData>
  <sheetProtection sheet="1" selectLockedCells="1"/>
  <mergeCells count="28">
    <mergeCell ref="B13:B15"/>
    <mergeCell ref="B1:Q1"/>
    <mergeCell ref="J3:L3"/>
    <mergeCell ref="J4:L4"/>
    <mergeCell ref="B3:E4"/>
    <mergeCell ref="B9:E10"/>
    <mergeCell ref="B6:E7"/>
    <mergeCell ref="J7:L7"/>
    <mergeCell ref="J8:L8"/>
    <mergeCell ref="J9:L9"/>
    <mergeCell ref="P30:Q34"/>
    <mergeCell ref="P7:P8"/>
    <mergeCell ref="X27:Y27"/>
    <mergeCell ref="P3:P4"/>
    <mergeCell ref="Q3:Q4"/>
    <mergeCell ref="I30:J34"/>
    <mergeCell ref="K30:N34"/>
    <mergeCell ref="J11:L11"/>
    <mergeCell ref="E15:N15"/>
    <mergeCell ref="E13:N13"/>
    <mergeCell ref="AC7:AG7"/>
    <mergeCell ref="AI7:AM7"/>
    <mergeCell ref="X7:X9"/>
    <mergeCell ref="Y7:Z7"/>
    <mergeCell ref="Y8:Z8"/>
    <mergeCell ref="AA7:AB7"/>
    <mergeCell ref="AA8:AB8"/>
    <mergeCell ref="J10:L10"/>
  </mergeCells>
  <conditionalFormatting sqref="E16:N28">
    <cfRule type="cellIs" priority="17" dxfId="0" operator="greaterThan" stopIfTrue="1">
      <formula>$J$11</formula>
    </cfRule>
    <cfRule type="cellIs" priority="18" dxfId="2" operator="lessThan" stopIfTrue="1">
      <formula>$J$11</formula>
    </cfRule>
  </conditionalFormatting>
  <conditionalFormatting sqref="B9:E10">
    <cfRule type="containsText" priority="2" dxfId="0" operator="containsText" stopIfTrue="1" text="STEP 3 - compare hourly throughput with main table">
      <formula>NOT(ISERROR(SEARCH("STEP 3 - compare hourly throughput with main table",B9)))</formula>
    </cfRule>
  </conditionalFormatting>
  <conditionalFormatting sqref="J11:L11">
    <cfRule type="cellIs" priority="1" dxfId="0" operator="greaterThan" stopIfTrue="1">
      <formula>-1</formula>
    </cfRule>
  </conditionalFormatting>
  <dataValidations count="7">
    <dataValidation type="list" operator="lessThanOrEqual" allowBlank="1" showInputMessage="1" showErrorMessage="1" prompt="maximum 125mm (5 inch)" error="Select from drop-down list" sqref="L6">
      <formula1>$AD$10:$AD$19</formula1>
    </dataValidation>
    <dataValidation type="list" allowBlank="1" showInputMessage="1" showErrorMessage="1" sqref="J3:L3">
      <formula1>$P$9:$P$28</formula1>
    </dataValidation>
    <dataValidation type="whole" operator="lessThanOrEqual" allowBlank="1" showInputMessage="1" showErrorMessage="1" sqref="J8:L8">
      <formula1>7</formula1>
    </dataValidation>
    <dataValidation type="whole" operator="lessThanOrEqual" allowBlank="1" showInputMessage="1" showErrorMessage="1" sqref="J9:L9">
      <formula1>100</formula1>
    </dataValidation>
    <dataValidation type="decimal" operator="lessThanOrEqual" allowBlank="1" showInputMessage="1" showErrorMessage="1" sqref="J7:L7">
      <formula1>24</formula1>
    </dataValidation>
    <dataValidation type="list" allowBlank="1" showInputMessage="1" showErrorMessage="1" sqref="Q3:Q4">
      <formula1>$S$4:$S$5</formula1>
    </dataValidation>
    <dataValidation type="list" allowBlank="1" showInputMessage="1" showErrorMessage="1" prompt="Select from drop-down list" error="Select from drop-down list" sqref="L5">
      <formula1>$AJ$10:$AJ$28</formula1>
    </dataValidation>
  </dataValidations>
  <hyperlinks>
    <hyperlink ref="K30" r:id="rId1" display="sales@myra.com.a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SalesAdmin</cp:lastModifiedBy>
  <dcterms:created xsi:type="dcterms:W3CDTF">2009-07-02T11:13:22Z</dcterms:created>
  <dcterms:modified xsi:type="dcterms:W3CDTF">2016-05-03T06:14:46Z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